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C:\Users\Robert\Documents\"/>
    </mc:Choice>
  </mc:AlternateContent>
  <bookViews>
    <workbookView xWindow="0" yWindow="0" windowWidth="20490" windowHeight="7755"/>
  </bookViews>
  <sheets>
    <sheet name="Gruppe 1" sheetId="2" r:id="rId1"/>
    <sheet name="Tabelle1" sheetId="3" r:id="rId2"/>
  </sheets>
  <definedNames>
    <definedName name="Ausblenden" localSheetId="0">'Gruppe 1'!$P:$AA</definedName>
    <definedName name="Beginn" localSheetId="0">'Gruppe 1'!$N$8</definedName>
    <definedName name="Datum" localSheetId="0">'Gruppe 1'!$N$7</definedName>
    <definedName name="_xlnm.Print_Area" localSheetId="0">'Gruppe 1'!$A$1:$J$32</definedName>
    <definedName name="Gruppe" localSheetId="0">'Gruppe 1'!$N$4</definedName>
    <definedName name="Jahrgang" localSheetId="0">'Gruppe 1'!$N$3</definedName>
    <definedName name="Ort" localSheetId="0">'Gruppe 1'!$N$6</definedName>
    <definedName name="Pause" localSheetId="0">'Gruppe 1'!$N$10</definedName>
    <definedName name="Saison" localSheetId="0">'Gruppe 1'!$N$2</definedName>
    <definedName name="Spieltag" localSheetId="0">'Gruppe 1'!$N$5</definedName>
    <definedName name="Spielzeit" localSheetId="0">'Gruppe 1'!$N$9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2" i="2" l="1"/>
  <c r="T31" i="2"/>
  <c r="T30" i="2"/>
  <c r="T29" i="2"/>
  <c r="T28" i="2"/>
  <c r="J26" i="2"/>
  <c r="C26" i="2"/>
  <c r="Y22" i="2"/>
  <c r="T22" i="2"/>
  <c r="R22" i="2"/>
  <c r="Q22" i="2"/>
  <c r="D22" i="2"/>
  <c r="B22" i="2"/>
  <c r="Y21" i="2"/>
  <c r="T21" i="2"/>
  <c r="R21" i="2"/>
  <c r="Q21" i="2"/>
  <c r="D21" i="2"/>
  <c r="B21" i="2"/>
  <c r="Y20" i="2"/>
  <c r="T20" i="2"/>
  <c r="R20" i="2"/>
  <c r="Q20" i="2"/>
  <c r="D20" i="2"/>
  <c r="B20" i="2"/>
  <c r="Y19" i="2"/>
  <c r="T19" i="2"/>
  <c r="R19" i="2"/>
  <c r="Q19" i="2"/>
  <c r="D19" i="2"/>
  <c r="X19" i="2" s="1"/>
  <c r="B19" i="2"/>
  <c r="Y18" i="2"/>
  <c r="T18" i="2"/>
  <c r="R18" i="2"/>
  <c r="Q18" i="2"/>
  <c r="D18" i="2"/>
  <c r="B18" i="2"/>
  <c r="Y17" i="2"/>
  <c r="T17" i="2"/>
  <c r="R17" i="2"/>
  <c r="Q17" i="2"/>
  <c r="D17" i="2"/>
  <c r="B17" i="2"/>
  <c r="Y16" i="2"/>
  <c r="T16" i="2"/>
  <c r="R16" i="2"/>
  <c r="Q16" i="2"/>
  <c r="D16" i="2"/>
  <c r="B16" i="2"/>
  <c r="Y15" i="2"/>
  <c r="T15" i="2"/>
  <c r="R15" i="2"/>
  <c r="Q15" i="2"/>
  <c r="D15" i="2"/>
  <c r="B15" i="2"/>
  <c r="Y14" i="2"/>
  <c r="T14" i="2"/>
  <c r="R14" i="2"/>
  <c r="Q14" i="2"/>
  <c r="D14" i="2"/>
  <c r="B14" i="2"/>
  <c r="Y13" i="2"/>
  <c r="T13" i="2"/>
  <c r="R13" i="2"/>
  <c r="Q13" i="2"/>
  <c r="D13" i="2"/>
  <c r="B13" i="2"/>
  <c r="A13" i="2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J3" i="2"/>
  <c r="A3" i="2"/>
  <c r="G2" i="2"/>
  <c r="A2" i="2"/>
  <c r="A1" i="2"/>
  <c r="W31" i="2" l="1"/>
  <c r="V32" i="2"/>
  <c r="U28" i="2"/>
  <c r="V29" i="2"/>
  <c r="U30" i="2"/>
  <c r="V31" i="2"/>
  <c r="U32" i="2"/>
  <c r="V28" i="2"/>
  <c r="U29" i="2"/>
  <c r="V30" i="2"/>
  <c r="U31" i="2"/>
  <c r="S15" i="2"/>
  <c r="S20" i="2"/>
  <c r="S14" i="2"/>
  <c r="S16" i="2"/>
  <c r="S18" i="2"/>
  <c r="S13" i="2"/>
  <c r="S22" i="2"/>
  <c r="W29" i="2"/>
  <c r="W32" i="2"/>
  <c r="W30" i="2"/>
  <c r="W28" i="2"/>
  <c r="S17" i="2"/>
  <c r="X22" i="2"/>
  <c r="X15" i="2"/>
  <c r="X14" i="2"/>
  <c r="S21" i="2"/>
  <c r="X18" i="2"/>
  <c r="X16" i="2"/>
  <c r="X17" i="2"/>
  <c r="Q28" i="2"/>
  <c r="Q29" i="2"/>
  <c r="Q30" i="2"/>
  <c r="Q31" i="2"/>
  <c r="X13" i="2"/>
  <c r="S19" i="2"/>
  <c r="X20" i="2"/>
  <c r="X21" i="2"/>
  <c r="Q32" i="2"/>
  <c r="R29" i="2" l="1"/>
  <c r="R32" i="2"/>
  <c r="R28" i="2"/>
  <c r="R31" i="2"/>
  <c r="R30" i="2"/>
  <c r="S31" i="2" l="1"/>
  <c r="P32" i="2"/>
  <c r="P30" i="2"/>
  <c r="P28" i="2"/>
  <c r="S28" i="2"/>
  <c r="P31" i="2"/>
  <c r="P29" i="2"/>
  <c r="S32" i="2"/>
  <c r="S30" i="2"/>
  <c r="S29" i="2"/>
  <c r="H32" i="2" l="1"/>
  <c r="J31" i="2"/>
  <c r="H30" i="2"/>
  <c r="J29" i="2"/>
  <c r="H28" i="2"/>
  <c r="B32" i="2"/>
  <c r="I31" i="2"/>
  <c r="B30" i="2"/>
  <c r="I29" i="2"/>
  <c r="B28" i="2"/>
  <c r="J32" i="2"/>
  <c r="H31" i="2"/>
  <c r="J30" i="2"/>
  <c r="H29" i="2"/>
  <c r="J28" i="2"/>
  <c r="B31" i="2"/>
  <c r="I28" i="2"/>
  <c r="B29" i="2"/>
  <c r="I32" i="2"/>
  <c r="I30" i="2"/>
  <c r="AC31" i="2" l="1"/>
  <c r="F27" i="2"/>
  <c r="AA31" i="2" s="1"/>
  <c r="AC30" i="2"/>
  <c r="E27" i="2"/>
  <c r="Z31" i="2" s="1"/>
  <c r="E31" i="2" s="1"/>
  <c r="D27" i="2"/>
  <c r="Y30" i="2" s="1"/>
  <c r="D30" i="2" s="1"/>
  <c r="AC29" i="2"/>
  <c r="AC28" i="2"/>
  <c r="C27" i="2"/>
  <c r="X29" i="2" s="1"/>
  <c r="C29" i="2" s="1"/>
  <c r="AC32" i="2"/>
  <c r="G27" i="2"/>
  <c r="AB31" i="2" s="1"/>
  <c r="G31" i="2" s="1"/>
  <c r="AA29" i="2" l="1"/>
  <c r="F29" i="2" s="1"/>
  <c r="X30" i="2"/>
  <c r="C30" i="2" s="1"/>
  <c r="Z28" i="2"/>
  <c r="E28" i="2" s="1"/>
  <c r="Z29" i="2"/>
  <c r="E29" i="2" s="1"/>
  <c r="Z32" i="2"/>
  <c r="E32" i="2" s="1"/>
  <c r="Y31" i="2"/>
  <c r="D31" i="2" s="1"/>
  <c r="X32" i="2"/>
  <c r="C32" i="2" s="1"/>
  <c r="AB28" i="2"/>
  <c r="G28" i="2" s="1"/>
  <c r="Y29" i="2"/>
  <c r="Y28" i="2"/>
  <c r="D28" i="2" s="1"/>
  <c r="Z30" i="2"/>
  <c r="AB29" i="2"/>
  <c r="G29" i="2" s="1"/>
  <c r="AB32" i="2"/>
  <c r="Y32" i="2"/>
  <c r="D32" i="2" s="1"/>
  <c r="AA28" i="2"/>
  <c r="F28" i="2" s="1"/>
  <c r="X31" i="2"/>
  <c r="C31" i="2" s="1"/>
  <c r="AB30" i="2"/>
  <c r="G30" i="2" s="1"/>
  <c r="AA32" i="2"/>
  <c r="F32" i="2" s="1"/>
  <c r="X28" i="2"/>
  <c r="AA30" i="2"/>
  <c r="F30" i="2" s="1"/>
</calcChain>
</file>

<file path=xl/comments1.xml><?xml version="1.0" encoding="utf-8"?>
<comments xmlns="http://schemas.openxmlformats.org/spreadsheetml/2006/main">
  <authors>
    <author>Gerd Spaeth</author>
  </authors>
  <commentList>
    <comment ref="Q27" authorId="0" shapeId="0">
      <text>
        <r>
          <rPr>
            <b/>
            <sz val="9"/>
            <color indexed="81"/>
            <rFont val="Segoe UI"/>
            <family val="2"/>
          </rPr>
          <t>Gerd Spaeth:</t>
        </r>
        <r>
          <rPr>
            <sz val="9"/>
            <color indexed="81"/>
            <rFont val="Segoe UI"/>
            <family val="2"/>
          </rPr>
          <t xml:space="preserve">
Faktor zur Rangermittlung:
Punkte*100
+Tordifferenz
+(geschossene Tore*0,1)</t>
        </r>
      </text>
    </comment>
  </commentList>
</comments>
</file>

<file path=xl/sharedStrings.xml><?xml version="1.0" encoding="utf-8"?>
<sst xmlns="http://schemas.openxmlformats.org/spreadsheetml/2006/main" count="61" uniqueCount="37">
  <si>
    <t>Eingabe Grunddaten</t>
  </si>
  <si>
    <t>Ort:</t>
  </si>
  <si>
    <t>Saison</t>
  </si>
  <si>
    <t>Gruppe:</t>
  </si>
  <si>
    <t>Jahrgang</t>
  </si>
  <si>
    <t>G-Junioren</t>
  </si>
  <si>
    <t>Gruppe</t>
  </si>
  <si>
    <t>Spieltag</t>
  </si>
  <si>
    <t>Ort</t>
  </si>
  <si>
    <t>Datum</t>
  </si>
  <si>
    <t>Beginn</t>
  </si>
  <si>
    <t>Spielzeit</t>
  </si>
  <si>
    <t>Pause</t>
  </si>
  <si>
    <t>Spielpaarung</t>
  </si>
  <si>
    <t>Ergebnis</t>
  </si>
  <si>
    <t>Punkte+</t>
  </si>
  <si>
    <t>Punkte-</t>
  </si>
  <si>
    <t>HeimGast</t>
  </si>
  <si>
    <t>GastHeim</t>
  </si>
  <si>
    <t>:</t>
  </si>
  <si>
    <t>Tabelle</t>
  </si>
  <si>
    <t>Platz</t>
  </si>
  <si>
    <t>Tore</t>
  </si>
  <si>
    <t>Punkte</t>
  </si>
  <si>
    <t>Faktor</t>
  </si>
  <si>
    <t>Rang</t>
  </si>
  <si>
    <t>Rang falls gleich</t>
  </si>
  <si>
    <t>Team</t>
  </si>
  <si>
    <t>SUCHKRITERIEN</t>
  </si>
  <si>
    <t>Diff</t>
  </si>
  <si>
    <t>2018/2019</t>
  </si>
  <si>
    <t>DJK Erlangen</t>
  </si>
  <si>
    <t xml:space="preserve">DJK Erlangen </t>
  </si>
  <si>
    <t>DJK Erlangen II</t>
  </si>
  <si>
    <t>(SG) TSV Hemhofen</t>
  </si>
  <si>
    <t>TV 48 Erlangen</t>
  </si>
  <si>
    <t>TV 48 Erlangen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</si>
</sst>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\ &quot;min&quot;"/>
    <numFmt numFmtId="165" formatCode="0&quot;.&quot;"/>
    <numFmt numFmtId="166" formatCode="\+0;\-0;0"/>
  </numFmts>
  <fonts count="23" x14ac:knownFonts="1">
    <font>
      <sz val="10"/>
      <name val="Arial"/>
      <family val="2"/>
    </font>
    <font>
      <sz val="10"/>
      <name val="Arial"/>
      <family val="2"/>
    </font>
    <font>
      <sz val="18"/>
      <name val="Arial Rounded MT Bold"/>
      <family val="2"/>
    </font>
    <font>
      <b/>
      <sz val="10"/>
      <name val="Arial"/>
      <family val="2"/>
    </font>
    <font>
      <b/>
      <sz val="15"/>
      <name val="Arial Rounded MT Bold"/>
      <family val="2"/>
    </font>
    <font>
      <sz val="12"/>
      <name val="Arial"/>
      <family val="2"/>
    </font>
    <font>
      <b/>
      <sz val="15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 Rounded MT Bold"/>
      <family val="2"/>
    </font>
    <font>
      <b/>
      <sz val="18"/>
      <name val="Arial Rounded MT Bold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20"/>
      <name val="Arial Rounded MT Bold"/>
      <family val="2"/>
    </font>
    <font>
      <b/>
      <sz val="20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3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5" fillId="0" borderId="0" xfId="0" applyFont="1" applyBorder="1" applyAlignment="1" applyProtection="1">
      <alignment horizontal="center"/>
    </xf>
    <xf numFmtId="0" fontId="7" fillId="0" borderId="0" xfId="0" applyFont="1"/>
    <xf numFmtId="0" fontId="1" fillId="2" borderId="8" xfId="0" applyFont="1" applyFill="1" applyBorder="1"/>
    <xf numFmtId="0" fontId="3" fillId="2" borderId="9" xfId="0" applyFont="1" applyFill="1" applyBorder="1" applyAlignment="1" applyProtection="1">
      <alignment horizontal="left"/>
      <protection locked="0"/>
    </xf>
    <xf numFmtId="0" fontId="8" fillId="0" borderId="0" xfId="0" applyFont="1"/>
    <xf numFmtId="0" fontId="9" fillId="0" borderId="10" xfId="0" applyFont="1" applyBorder="1" applyProtection="1"/>
    <xf numFmtId="0" fontId="8" fillId="0" borderId="11" xfId="0" applyFont="1" applyBorder="1" applyProtection="1"/>
    <xf numFmtId="0" fontId="8" fillId="0" borderId="11" xfId="0" applyFont="1" applyBorder="1" applyAlignment="1" applyProtection="1">
      <alignment horizontal="right"/>
    </xf>
    <xf numFmtId="0" fontId="8" fillId="0" borderId="11" xfId="0" applyFont="1" applyBorder="1" applyAlignment="1" applyProtection="1"/>
    <xf numFmtId="0" fontId="8" fillId="0" borderId="11" xfId="0" applyFont="1" applyBorder="1" applyAlignment="1" applyProtection="1">
      <alignment horizontal="centerContinuous"/>
    </xf>
    <xf numFmtId="0" fontId="10" fillId="0" borderId="12" xfId="0" applyFont="1" applyBorder="1" applyAlignment="1" applyProtection="1">
      <alignment horizontal="center"/>
    </xf>
    <xf numFmtId="14" fontId="3" fillId="2" borderId="9" xfId="0" applyNumberFormat="1" applyFont="1" applyFill="1" applyBorder="1" applyAlignment="1" applyProtection="1">
      <alignment horizontal="left"/>
      <protection locked="0"/>
    </xf>
    <xf numFmtId="20" fontId="3" fillId="2" borderId="9" xfId="0" applyNumberFormat="1" applyFont="1" applyFill="1" applyBorder="1" applyAlignment="1" applyProtection="1">
      <alignment horizontal="left"/>
      <protection locked="0"/>
    </xf>
    <xf numFmtId="164" fontId="3" fillId="2" borderId="9" xfId="0" applyNumberFormat="1" applyFont="1" applyFill="1" applyBorder="1" applyAlignment="1" applyProtection="1">
      <alignment horizontal="left"/>
      <protection locked="0"/>
    </xf>
    <xf numFmtId="0" fontId="1" fillId="2" borderId="13" xfId="0" applyFont="1" applyFill="1" applyBorder="1"/>
    <xf numFmtId="164" fontId="3" fillId="2" borderId="14" xfId="0" applyNumberFormat="1" applyFont="1" applyFill="1" applyBorder="1" applyAlignment="1" applyProtection="1">
      <alignment horizontal="left"/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1" fillId="0" borderId="0" xfId="0" applyFont="1"/>
    <xf numFmtId="20" fontId="3" fillId="0" borderId="15" xfId="0" applyNumberFormat="1" applyFont="1" applyBorder="1" applyAlignment="1" applyProtection="1">
      <alignment horizontal="center"/>
    </xf>
    <xf numFmtId="0" fontId="12" fillId="0" borderId="15" xfId="0" applyFont="1" applyBorder="1" applyAlignment="1"/>
    <xf numFmtId="0" fontId="13" fillId="0" borderId="15" xfId="0" applyFont="1" applyBorder="1" applyAlignment="1">
      <alignment horizontal="center"/>
    </xf>
    <xf numFmtId="0" fontId="8" fillId="0" borderId="11" xfId="0" applyFont="1" applyBorder="1" applyAlignment="1" applyProtection="1">
      <alignment horizontal="center"/>
      <protection locked="0"/>
    </xf>
    <xf numFmtId="0" fontId="14" fillId="0" borderId="15" xfId="0" applyFont="1" applyBorder="1" applyAlignment="1">
      <alignment horizontal="center"/>
    </xf>
    <xf numFmtId="20" fontId="3" fillId="0" borderId="15" xfId="0" applyNumberFormat="1" applyFont="1" applyBorder="1" applyAlignment="1">
      <alignment horizontal="center"/>
    </xf>
    <xf numFmtId="20" fontId="3" fillId="0" borderId="0" xfId="0" applyNumberFormat="1" applyFont="1" applyFill="1" applyBorder="1" applyAlignment="1">
      <alignment horizontal="left"/>
    </xf>
    <xf numFmtId="0" fontId="11" fillId="0" borderId="17" xfId="0" applyFont="1" applyBorder="1" applyAlignment="1">
      <alignment horizontal="left" vertical="center"/>
    </xf>
    <xf numFmtId="0" fontId="15" fillId="0" borderId="18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Continuous" vertical="center"/>
    </xf>
    <xf numFmtId="0" fontId="11" fillId="0" borderId="18" xfId="0" applyFont="1" applyBorder="1" applyAlignment="1">
      <alignment horizontal="right" vertical="center"/>
    </xf>
    <xf numFmtId="0" fontId="15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/>
    </xf>
    <xf numFmtId="0" fontId="17" fillId="0" borderId="20" xfId="0" applyFont="1" applyBorder="1"/>
    <xf numFmtId="0" fontId="18" fillId="0" borderId="20" xfId="0" applyFont="1" applyBorder="1" applyAlignment="1">
      <alignment horizontal="center" textRotation="90"/>
    </xf>
    <xf numFmtId="0" fontId="19" fillId="3" borderId="0" xfId="0" applyFont="1" applyFill="1" applyAlignment="1">
      <alignment textRotation="90"/>
    </xf>
    <xf numFmtId="0" fontId="0" fillId="0" borderId="0" xfId="0" applyAlignment="1">
      <alignment textRotation="90"/>
    </xf>
    <xf numFmtId="0" fontId="1" fillId="0" borderId="0" xfId="0" applyFont="1" applyAlignment="1">
      <alignment textRotation="90"/>
    </xf>
    <xf numFmtId="165" fontId="8" fillId="0" borderId="20" xfId="0" applyNumberFormat="1" applyFont="1" applyBorder="1" applyAlignment="1">
      <alignment horizontal="center" vertical="center"/>
    </xf>
    <xf numFmtId="0" fontId="18" fillId="0" borderId="20" xfId="0" applyFont="1" applyBorder="1" applyAlignment="1">
      <alignment vertical="center"/>
    </xf>
    <xf numFmtId="0" fontId="14" fillId="5" borderId="20" xfId="0" applyNumberFormat="1" applyFont="1" applyFill="1" applyBorder="1" applyAlignment="1">
      <alignment horizontal="center" vertical="center"/>
    </xf>
    <xf numFmtId="49" fontId="14" fillId="0" borderId="20" xfId="0" applyNumberFormat="1" applyFont="1" applyBorder="1" applyAlignment="1">
      <alignment horizontal="center" vertical="center"/>
    </xf>
    <xf numFmtId="0" fontId="20" fillId="0" borderId="0" xfId="0" applyFont="1"/>
    <xf numFmtId="0" fontId="0" fillId="4" borderId="6" xfId="0" applyFill="1" applyBorder="1"/>
    <xf numFmtId="0" fontId="0" fillId="4" borderId="0" xfId="0" applyFill="1" applyBorder="1"/>
    <xf numFmtId="49" fontId="14" fillId="5" borderId="20" xfId="0" applyNumberFormat="1" applyFont="1" applyFill="1" applyBorder="1" applyAlignment="1">
      <alignment horizontal="center" vertical="center"/>
    </xf>
    <xf numFmtId="0" fontId="17" fillId="2" borderId="20" xfId="0" applyFont="1" applyFill="1" applyBorder="1" applyAlignment="1">
      <alignment horizontal="center"/>
    </xf>
    <xf numFmtId="0" fontId="14" fillId="2" borderId="20" xfId="0" applyNumberFormat="1" applyFont="1" applyFill="1" applyBorder="1" applyAlignment="1">
      <alignment horizontal="center" vertical="center"/>
    </xf>
    <xf numFmtId="166" fontId="14" fillId="2" borderId="20" xfId="0" applyNumberFormat="1" applyFont="1" applyFill="1" applyBorder="1" applyAlignment="1">
      <alignment horizontal="right" vertical="center" indent="1"/>
    </xf>
    <xf numFmtId="0" fontId="14" fillId="2" borderId="20" xfId="0" applyNumberFormat="1" applyFont="1" applyFill="1" applyBorder="1" applyAlignment="1">
      <alignment horizontal="right" vertical="center" indent="1"/>
    </xf>
    <xf numFmtId="0" fontId="12" fillId="0" borderId="16" xfId="0" applyFont="1" applyBorder="1" applyAlignment="1">
      <alignment horizontal="left"/>
    </xf>
    <xf numFmtId="0" fontId="16" fillId="0" borderId="18" xfId="0" applyFont="1" applyBorder="1" applyAlignment="1">
      <alignment horizontal="center" vertical="center"/>
    </xf>
    <xf numFmtId="0" fontId="1" fillId="4" borderId="21" xfId="0" applyFont="1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2" fillId="0" borderId="1" xfId="0" applyFont="1" applyBorder="1" applyAlignment="1" applyProtection="1">
      <alignment horizontal="center"/>
    </xf>
    <xf numFmtId="0" fontId="0" fillId="0" borderId="2" xfId="0" applyBorder="1" applyAlignment="1" applyProtection="1"/>
    <xf numFmtId="0" fontId="0" fillId="0" borderId="3" xfId="0" applyBorder="1" applyAlignment="1" applyProtection="1"/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0" borderId="6" xfId="0" applyFont="1" applyBorder="1" applyAlignment="1" applyProtection="1"/>
    <xf numFmtId="0" fontId="4" fillId="0" borderId="0" xfId="0" applyFont="1" applyBorder="1" applyAlignment="1" applyProtection="1"/>
    <xf numFmtId="0" fontId="6" fillId="0" borderId="0" xfId="0" applyFont="1" applyBorder="1" applyAlignment="1" applyProtection="1"/>
    <xf numFmtId="0" fontId="6" fillId="0" borderId="7" xfId="0" applyFont="1" applyBorder="1" applyAlignment="1" applyProtection="1"/>
    <xf numFmtId="0" fontId="11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12" fillId="0" borderId="15" xfId="0" applyFont="1" applyBorder="1" applyAlignment="1">
      <alignment horizontal="left"/>
    </xf>
  </cellXfs>
  <cellStyles count="1">
    <cellStyle name="Standard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352425</xdr:colOff>
      <xdr:row>26</xdr:row>
      <xdr:rowOff>409575</xdr:rowOff>
    </xdr:from>
    <xdr:to>
      <xdr:col>1</xdr:col>
      <xdr:colOff>1400175</xdr:colOff>
      <xdr:row>26</xdr:row>
      <xdr:rowOff>1371600</xdr:rowOff>
    </xdr:to>
    <xdr:pic>
      <xdr:nvPicPr>
        <xdr:cNvPr id="2" name="Bild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6438900"/>
          <a:ext cx="1047750" cy="9620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295275</xdr:colOff>
      <xdr:row>4</xdr:row>
      <xdr:rowOff>184785</xdr:rowOff>
    </xdr:from>
    <xdr:to>
      <xdr:col>9</xdr:col>
      <xdr:colOff>57150</xdr:colOff>
      <xdr:row>8</xdr:row>
      <xdr:rowOff>142875</xdr:rowOff>
    </xdr:to>
    <xdr:grpSp>
      <xdr:nvGrpSpPr>
        <xdr:cNvPr id="3" name="Gruppieren 2"/>
        <xdr:cNvGrpSpPr/>
      </xdr:nvGrpSpPr>
      <xdr:grpSpPr>
        <a:xfrm>
          <a:off x="742536" y="1120720"/>
          <a:ext cx="5551418" cy="786351"/>
          <a:chOff x="744855" y="1160145"/>
          <a:chExt cx="5553075" cy="811530"/>
        </a:xfrm>
      </xdr:grpSpPr>
      <xdr:pic>
        <xdr:nvPicPr>
          <xdr:cNvPr id="4" name="Picture 2" descr="Vollbild anzei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44855" y="1160145"/>
            <a:ext cx="523875" cy="7734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Picture 3" descr="Vollbild anzei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775960" y="1198245"/>
            <a:ext cx="521970" cy="7734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showGridLines="0" tabSelected="1" topLeftCell="A10" zoomScale="115" zoomScaleNormal="115" workbookViewId="0">
      <selection activeCell="B9" sqref="B9:I9"/>
    </sheetView>
  </sheetViews>
  <sheetFormatPr baseColWidth="10" defaultRowHeight="12.75" x14ac:dyDescent="0.2"/>
  <cols>
    <col min="1" max="1" width="6.7109375" customWidth="1"/>
    <col min="2" max="2" width="26.140625" customWidth="1"/>
    <col min="3" max="3" width="8.7109375" customWidth="1"/>
    <col min="4" max="4" width="8.5703125" customWidth="1"/>
    <col min="5" max="10" width="8.7109375" customWidth="1"/>
    <col min="11" max="11" width="5.28515625" bestFit="1" customWidth="1"/>
    <col min="12" max="12" width="5" bestFit="1" customWidth="1"/>
    <col min="13" max="13" width="8.42578125" bestFit="1" customWidth="1"/>
    <col min="14" max="14" width="24.140625" customWidth="1"/>
    <col min="15" max="15" width="7.42578125" customWidth="1"/>
    <col min="16" max="17" width="6.28515625" hidden="1" customWidth="1"/>
    <col min="18" max="18" width="5.42578125" hidden="1" customWidth="1"/>
    <col min="19" max="19" width="13.85546875" hidden="1" customWidth="1"/>
    <col min="20" max="20" width="8.5703125" hidden="1" customWidth="1"/>
    <col min="21" max="21" width="3.5703125" hidden="1" customWidth="1"/>
    <col min="22" max="23" width="3.28515625" hidden="1" customWidth="1"/>
    <col min="24" max="27" width="18.7109375" hidden="1" customWidth="1"/>
    <col min="28" max="29" width="11.42578125" hidden="1" customWidth="1"/>
  </cols>
  <sheetData>
    <row r="1" spans="1:25" ht="20.25" customHeight="1" x14ac:dyDescent="0.3">
      <c r="A1" s="56" t="str">
        <f>"BFV-Turniere im Kreis Erlangen/Pegnitzgrund "&amp;Saison</f>
        <v>BFV-Turniere im Kreis Erlangen/Pegnitzgrund 2018/2019</v>
      </c>
      <c r="B1" s="57"/>
      <c r="C1" s="57"/>
      <c r="D1" s="57"/>
      <c r="E1" s="57"/>
      <c r="F1" s="57"/>
      <c r="G1" s="57"/>
      <c r="H1" s="57"/>
      <c r="I1" s="57"/>
      <c r="J1" s="58"/>
      <c r="M1" s="59" t="s">
        <v>0</v>
      </c>
      <c r="N1" s="60"/>
    </row>
    <row r="2" spans="1:25" s="5" customFormat="1" ht="20.25" customHeight="1" x14ac:dyDescent="0.3">
      <c r="A2" s="61" t="str">
        <f>"am "&amp;TEXT(Datum,"TTTT") &amp;", den "&amp;TEXT(Datum,"T. MMMM JJJJ")</f>
        <v>am Samstag, den 13. April 2019</v>
      </c>
      <c r="B2" s="62"/>
      <c r="C2" s="62"/>
      <c r="D2" s="62"/>
      <c r="E2" s="62"/>
      <c r="F2" s="1" t="s">
        <v>1</v>
      </c>
      <c r="G2" s="63" t="str">
        <f>Ort</f>
        <v>DJK Erlangen</v>
      </c>
      <c r="H2" s="63"/>
      <c r="I2" s="63"/>
      <c r="J2" s="64"/>
      <c r="K2" s="2"/>
      <c r="L2" s="2"/>
      <c r="M2" s="3" t="s">
        <v>2</v>
      </c>
      <c r="N2" s="4" t="s">
        <v>30</v>
      </c>
      <c r="O2" s="2"/>
      <c r="R2"/>
      <c r="S2"/>
      <c r="T2"/>
    </row>
    <row r="3" spans="1:25" s="5" customFormat="1" ht="20.25" customHeight="1" thickBot="1" x14ac:dyDescent="0.35">
      <c r="A3" s="6" t="str">
        <f>Spieltag&amp;". Spieltag der "&amp;Jahrgang&amp;"     Spielzeit: "&amp;TEXT(Spielzeit,"0")&amp;" min"</f>
        <v>1. Spieltag der G-Junioren     Spielzeit: 10 min</v>
      </c>
      <c r="B3" s="7"/>
      <c r="C3" s="7"/>
      <c r="D3" s="7"/>
      <c r="E3" s="8"/>
      <c r="F3" s="9"/>
      <c r="G3" s="10"/>
      <c r="H3" s="10"/>
      <c r="I3" s="8" t="s">
        <v>3</v>
      </c>
      <c r="J3" s="11">
        <f>Gruppe</f>
        <v>2</v>
      </c>
      <c r="M3" s="3" t="s">
        <v>4</v>
      </c>
      <c r="N3" s="4" t="s">
        <v>5</v>
      </c>
      <c r="O3"/>
      <c r="R3"/>
      <c r="S3"/>
      <c r="T3"/>
    </row>
    <row r="4" spans="1:25" x14ac:dyDescent="0.2">
      <c r="M4" s="3" t="s">
        <v>6</v>
      </c>
      <c r="N4" s="4">
        <v>2</v>
      </c>
    </row>
    <row r="5" spans="1:25" ht="16.5" customHeight="1" x14ac:dyDescent="0.25">
      <c r="B5" s="65" t="s">
        <v>32</v>
      </c>
      <c r="C5" s="65"/>
      <c r="D5" s="65"/>
      <c r="E5" s="65"/>
      <c r="F5" s="65"/>
      <c r="G5" s="65"/>
      <c r="H5" s="65"/>
      <c r="I5" s="65"/>
      <c r="M5" s="3" t="s">
        <v>7</v>
      </c>
      <c r="N5" s="4">
        <v>1</v>
      </c>
    </row>
    <row r="6" spans="1:25" ht="16.5" customHeight="1" x14ac:dyDescent="0.25">
      <c r="B6" s="65" t="s">
        <v>33</v>
      </c>
      <c r="C6" s="65"/>
      <c r="D6" s="65"/>
      <c r="E6" s="65"/>
      <c r="F6" s="65"/>
      <c r="G6" s="65"/>
      <c r="H6" s="65"/>
      <c r="I6" s="65"/>
      <c r="M6" s="3" t="s">
        <v>8</v>
      </c>
      <c r="N6" s="4" t="s">
        <v>31</v>
      </c>
    </row>
    <row r="7" spans="1:25" ht="16.5" customHeight="1" x14ac:dyDescent="0.25">
      <c r="B7" s="65" t="s">
        <v>34</v>
      </c>
      <c r="C7" s="65"/>
      <c r="D7" s="65"/>
      <c r="E7" s="65"/>
      <c r="F7" s="65"/>
      <c r="G7" s="65"/>
      <c r="H7" s="65"/>
      <c r="I7" s="65"/>
      <c r="M7" s="3" t="s">
        <v>9</v>
      </c>
      <c r="N7" s="12">
        <v>43568</v>
      </c>
    </row>
    <row r="8" spans="1:25" ht="16.5" customHeight="1" x14ac:dyDescent="0.25">
      <c r="B8" s="65" t="s">
        <v>35</v>
      </c>
      <c r="C8" s="65"/>
      <c r="D8" s="65"/>
      <c r="E8" s="65"/>
      <c r="F8" s="65"/>
      <c r="G8" s="65"/>
      <c r="H8" s="65"/>
      <c r="I8" s="65"/>
      <c r="M8" s="3" t="s">
        <v>10</v>
      </c>
      <c r="N8" s="13">
        <v>0.45833333333333331</v>
      </c>
    </row>
    <row r="9" spans="1:25" ht="16.5" customHeight="1" x14ac:dyDescent="0.25">
      <c r="B9" s="65" t="s">
        <v>36</v>
      </c>
      <c r="C9" s="65"/>
      <c r="D9" s="65"/>
      <c r="E9" s="65"/>
      <c r="F9" s="65"/>
      <c r="G9" s="65"/>
      <c r="H9" s="65"/>
      <c r="I9" s="65"/>
      <c r="M9" s="3" t="s">
        <v>11</v>
      </c>
      <c r="N9" s="14">
        <v>10</v>
      </c>
    </row>
    <row r="10" spans="1:25" ht="16.5" customHeight="1" x14ac:dyDescent="0.25">
      <c r="B10" s="66"/>
      <c r="C10" s="66"/>
      <c r="D10" s="66"/>
      <c r="E10" s="66"/>
      <c r="F10" s="66"/>
      <c r="G10" s="66"/>
      <c r="H10" s="66"/>
      <c r="I10" s="66"/>
      <c r="M10" s="15" t="s">
        <v>12</v>
      </c>
      <c r="N10" s="16">
        <v>1</v>
      </c>
    </row>
    <row r="12" spans="1:25" ht="13.5" customHeight="1" x14ac:dyDescent="0.2">
      <c r="A12" s="17" t="s">
        <v>10</v>
      </c>
      <c r="B12" s="18" t="s">
        <v>13</v>
      </c>
      <c r="C12" s="19"/>
      <c r="D12" s="19"/>
      <c r="E12" s="19"/>
      <c r="G12" s="20"/>
      <c r="H12" s="17" t="s">
        <v>14</v>
      </c>
      <c r="I12" s="20"/>
      <c r="Q12" s="21" t="s">
        <v>15</v>
      </c>
      <c r="R12" s="21" t="s">
        <v>16</v>
      </c>
      <c r="S12" s="21" t="s">
        <v>17</v>
      </c>
      <c r="X12" s="21" t="s">
        <v>18</v>
      </c>
    </row>
    <row r="13" spans="1:25" ht="19.5" customHeight="1" thickBot="1" x14ac:dyDescent="0.35">
      <c r="A13" s="22">
        <f>Beginn</f>
        <v>0.45833333333333331</v>
      </c>
      <c r="B13" s="23" t="str">
        <f>B5</f>
        <v xml:space="preserve">DJK Erlangen </v>
      </c>
      <c r="C13" s="24" t="s">
        <v>19</v>
      </c>
      <c r="D13" s="67" t="str">
        <f>B6</f>
        <v>DJK Erlangen II</v>
      </c>
      <c r="E13" s="67"/>
      <c r="F13" s="67"/>
      <c r="G13" s="25"/>
      <c r="H13" s="26" t="s">
        <v>19</v>
      </c>
      <c r="I13" s="25"/>
      <c r="Q13" t="str">
        <f t="shared" ref="Q13:Q22" si="0">IF(ISBLANK(I13),"",IF(G13=I13,1,IF(G13&gt;I13,3,0)))</f>
        <v/>
      </c>
      <c r="R13" t="str">
        <f t="shared" ref="R13:R22" si="1">IF(ISBLANK(I13),"",IF(G13=I13,1,IF(G13&lt;I13,3,0)))</f>
        <v/>
      </c>
      <c r="S13" t="str">
        <f t="shared" ref="S13:S22" si="2">B13&amp;D13</f>
        <v>DJK Erlangen DJK Erlangen II</v>
      </c>
      <c r="T13" t="str">
        <f t="shared" ref="T13:T22" si="3">G13&amp;H13&amp;I13</f>
        <v>:</v>
      </c>
      <c r="X13" t="str">
        <f t="shared" ref="X13:X22" si="4">D13&amp;B13</f>
        <v xml:space="preserve">DJK Erlangen IIDJK Erlangen </v>
      </c>
      <c r="Y13" t="str">
        <f t="shared" ref="Y13:Y22" si="5">I13&amp;H13&amp;G13</f>
        <v>:</v>
      </c>
    </row>
    <row r="14" spans="1:25" ht="19.5" customHeight="1" thickBot="1" x14ac:dyDescent="0.35">
      <c r="A14" s="27">
        <f t="shared" ref="A14:A22" si="6">A13+(Spielzeit+Pause)/60/24</f>
        <v>0.46597222222222218</v>
      </c>
      <c r="B14" s="23" t="str">
        <f>B7</f>
        <v>(SG) TSV Hemhofen</v>
      </c>
      <c r="C14" s="24" t="s">
        <v>19</v>
      </c>
      <c r="D14" s="52" t="str">
        <f>B8</f>
        <v>TV 48 Erlangen</v>
      </c>
      <c r="E14" s="52"/>
      <c r="F14" s="52"/>
      <c r="G14" s="25"/>
      <c r="H14" s="26" t="s">
        <v>19</v>
      </c>
      <c r="I14" s="25"/>
      <c r="Q14" t="str">
        <f t="shared" si="0"/>
        <v/>
      </c>
      <c r="R14" t="str">
        <f t="shared" si="1"/>
        <v/>
      </c>
      <c r="S14" t="str">
        <f t="shared" si="2"/>
        <v>(SG) TSV HemhofenTV 48 Erlangen</v>
      </c>
      <c r="T14" t="str">
        <f t="shared" si="3"/>
        <v>:</v>
      </c>
      <c r="X14" t="str">
        <f t="shared" si="4"/>
        <v>TV 48 Erlangen(SG) TSV Hemhofen</v>
      </c>
      <c r="Y14" t="str">
        <f t="shared" si="5"/>
        <v>:</v>
      </c>
    </row>
    <row r="15" spans="1:25" ht="19.5" customHeight="1" thickBot="1" x14ac:dyDescent="0.35">
      <c r="A15" s="27">
        <f t="shared" si="6"/>
        <v>0.47361111111111104</v>
      </c>
      <c r="B15" s="23" t="str">
        <f>B9</f>
        <v>TV 48 Erlangen II</v>
      </c>
      <c r="C15" s="24" t="s">
        <v>19</v>
      </c>
      <c r="D15" s="52" t="str">
        <f>B5</f>
        <v xml:space="preserve">DJK Erlangen </v>
      </c>
      <c r="E15" s="52"/>
      <c r="F15" s="52"/>
      <c r="G15" s="25"/>
      <c r="H15" s="26" t="s">
        <v>19</v>
      </c>
      <c r="I15" s="25"/>
      <c r="Q15" t="str">
        <f t="shared" si="0"/>
        <v/>
      </c>
      <c r="R15" t="str">
        <f t="shared" si="1"/>
        <v/>
      </c>
      <c r="S15" t="str">
        <f t="shared" si="2"/>
        <v xml:space="preserve">TV 48 Erlangen IIDJK Erlangen </v>
      </c>
      <c r="T15" t="str">
        <f t="shared" si="3"/>
        <v>:</v>
      </c>
      <c r="X15" t="str">
        <f t="shared" si="4"/>
        <v>DJK Erlangen TV 48 Erlangen II</v>
      </c>
      <c r="Y15" t="str">
        <f t="shared" si="5"/>
        <v>:</v>
      </c>
    </row>
    <row r="16" spans="1:25" ht="19.5" customHeight="1" thickBot="1" x14ac:dyDescent="0.35">
      <c r="A16" s="27">
        <f t="shared" si="6"/>
        <v>0.4812499999999999</v>
      </c>
      <c r="B16" s="23" t="str">
        <f>B6</f>
        <v>DJK Erlangen II</v>
      </c>
      <c r="C16" s="24" t="s">
        <v>19</v>
      </c>
      <c r="D16" s="52" t="str">
        <f>B7</f>
        <v>(SG) TSV Hemhofen</v>
      </c>
      <c r="E16" s="52"/>
      <c r="F16" s="52"/>
      <c r="G16" s="25"/>
      <c r="H16" s="26" t="s">
        <v>19</v>
      </c>
      <c r="I16" s="25"/>
      <c r="Q16" t="str">
        <f t="shared" si="0"/>
        <v/>
      </c>
      <c r="R16" t="str">
        <f t="shared" si="1"/>
        <v/>
      </c>
      <c r="S16" t="str">
        <f t="shared" si="2"/>
        <v>DJK Erlangen II(SG) TSV Hemhofen</v>
      </c>
      <c r="T16" t="str">
        <f t="shared" si="3"/>
        <v>:</v>
      </c>
      <c r="X16" t="str">
        <f t="shared" si="4"/>
        <v>(SG) TSV HemhofenDJK Erlangen II</v>
      </c>
      <c r="Y16" t="str">
        <f t="shared" si="5"/>
        <v>:</v>
      </c>
    </row>
    <row r="17" spans="1:29" ht="19.5" customHeight="1" thickBot="1" x14ac:dyDescent="0.35">
      <c r="A17" s="27">
        <f t="shared" si="6"/>
        <v>0.48888888888888876</v>
      </c>
      <c r="B17" s="23" t="str">
        <f>B8</f>
        <v>TV 48 Erlangen</v>
      </c>
      <c r="C17" s="24" t="s">
        <v>19</v>
      </c>
      <c r="D17" s="52" t="str">
        <f>B9</f>
        <v>TV 48 Erlangen II</v>
      </c>
      <c r="E17" s="52"/>
      <c r="F17" s="52"/>
      <c r="G17" s="25"/>
      <c r="H17" s="26" t="s">
        <v>19</v>
      </c>
      <c r="I17" s="25"/>
      <c r="Q17" t="str">
        <f t="shared" si="0"/>
        <v/>
      </c>
      <c r="R17" t="str">
        <f t="shared" si="1"/>
        <v/>
      </c>
      <c r="S17" t="str">
        <f t="shared" si="2"/>
        <v>TV 48 ErlangenTV 48 Erlangen II</v>
      </c>
      <c r="T17" t="str">
        <f t="shared" si="3"/>
        <v>:</v>
      </c>
      <c r="X17" t="str">
        <f t="shared" si="4"/>
        <v>TV 48 Erlangen IITV 48 Erlangen</v>
      </c>
      <c r="Y17" t="str">
        <f t="shared" si="5"/>
        <v>:</v>
      </c>
    </row>
    <row r="18" spans="1:29" ht="19.5" customHeight="1" thickBot="1" x14ac:dyDescent="0.35">
      <c r="A18" s="27">
        <f t="shared" si="6"/>
        <v>0.49652777777777762</v>
      </c>
      <c r="B18" s="23" t="str">
        <f>B5</f>
        <v xml:space="preserve">DJK Erlangen </v>
      </c>
      <c r="C18" s="24" t="s">
        <v>19</v>
      </c>
      <c r="D18" s="52" t="str">
        <f>B7</f>
        <v>(SG) TSV Hemhofen</v>
      </c>
      <c r="E18" s="52"/>
      <c r="F18" s="52"/>
      <c r="G18" s="25"/>
      <c r="H18" s="26" t="s">
        <v>19</v>
      </c>
      <c r="I18" s="25"/>
      <c r="Q18" t="str">
        <f t="shared" si="0"/>
        <v/>
      </c>
      <c r="R18" t="str">
        <f t="shared" si="1"/>
        <v/>
      </c>
      <c r="S18" t="str">
        <f t="shared" si="2"/>
        <v>DJK Erlangen (SG) TSV Hemhofen</v>
      </c>
      <c r="T18" t="str">
        <f t="shared" si="3"/>
        <v>:</v>
      </c>
      <c r="X18" t="str">
        <f t="shared" si="4"/>
        <v xml:space="preserve">(SG) TSV HemhofenDJK Erlangen </v>
      </c>
      <c r="Y18" t="str">
        <f t="shared" si="5"/>
        <v>:</v>
      </c>
    </row>
    <row r="19" spans="1:29" ht="19.5" customHeight="1" thickBot="1" x14ac:dyDescent="0.35">
      <c r="A19" s="27">
        <f t="shared" si="6"/>
        <v>0.50416666666666654</v>
      </c>
      <c r="B19" s="23" t="str">
        <f>B6</f>
        <v>DJK Erlangen II</v>
      </c>
      <c r="C19" s="24" t="s">
        <v>19</v>
      </c>
      <c r="D19" s="52" t="str">
        <f>B8</f>
        <v>TV 48 Erlangen</v>
      </c>
      <c r="E19" s="52"/>
      <c r="F19" s="52"/>
      <c r="G19" s="25"/>
      <c r="H19" s="26" t="s">
        <v>19</v>
      </c>
      <c r="I19" s="25"/>
      <c r="Q19" t="str">
        <f t="shared" si="0"/>
        <v/>
      </c>
      <c r="R19" t="str">
        <f t="shared" si="1"/>
        <v/>
      </c>
      <c r="S19" t="str">
        <f t="shared" si="2"/>
        <v>DJK Erlangen IITV 48 Erlangen</v>
      </c>
      <c r="T19" t="str">
        <f t="shared" si="3"/>
        <v>:</v>
      </c>
      <c r="X19" t="str">
        <f t="shared" si="4"/>
        <v>TV 48 ErlangenDJK Erlangen II</v>
      </c>
      <c r="Y19" t="str">
        <f t="shared" si="5"/>
        <v>:</v>
      </c>
    </row>
    <row r="20" spans="1:29" ht="19.5" customHeight="1" thickBot="1" x14ac:dyDescent="0.35">
      <c r="A20" s="27">
        <f t="shared" si="6"/>
        <v>0.5118055555555554</v>
      </c>
      <c r="B20" s="23" t="str">
        <f>B7</f>
        <v>(SG) TSV Hemhofen</v>
      </c>
      <c r="C20" s="24" t="s">
        <v>19</v>
      </c>
      <c r="D20" s="52" t="str">
        <f>B9</f>
        <v>TV 48 Erlangen II</v>
      </c>
      <c r="E20" s="52"/>
      <c r="F20" s="52"/>
      <c r="G20" s="25"/>
      <c r="H20" s="26" t="s">
        <v>19</v>
      </c>
      <c r="I20" s="25"/>
      <c r="Q20" t="str">
        <f t="shared" si="0"/>
        <v/>
      </c>
      <c r="R20" t="str">
        <f t="shared" si="1"/>
        <v/>
      </c>
      <c r="S20" t="str">
        <f t="shared" si="2"/>
        <v>(SG) TSV HemhofenTV 48 Erlangen II</v>
      </c>
      <c r="T20" t="str">
        <f t="shared" si="3"/>
        <v>:</v>
      </c>
      <c r="X20" t="str">
        <f t="shared" si="4"/>
        <v>TV 48 Erlangen II(SG) TSV Hemhofen</v>
      </c>
      <c r="Y20" t="str">
        <f t="shared" si="5"/>
        <v>:</v>
      </c>
    </row>
    <row r="21" spans="1:29" ht="19.5" customHeight="1" thickBot="1" x14ac:dyDescent="0.35">
      <c r="A21" s="27">
        <f t="shared" si="6"/>
        <v>0.51944444444444426</v>
      </c>
      <c r="B21" s="23" t="str">
        <f>B8</f>
        <v>TV 48 Erlangen</v>
      </c>
      <c r="C21" s="24" t="s">
        <v>19</v>
      </c>
      <c r="D21" s="52" t="str">
        <f>B5</f>
        <v xml:space="preserve">DJK Erlangen </v>
      </c>
      <c r="E21" s="52"/>
      <c r="F21" s="52"/>
      <c r="G21" s="25"/>
      <c r="H21" s="26" t="s">
        <v>19</v>
      </c>
      <c r="I21" s="25"/>
      <c r="Q21" t="str">
        <f t="shared" si="0"/>
        <v/>
      </c>
      <c r="R21" t="str">
        <f t="shared" si="1"/>
        <v/>
      </c>
      <c r="S21" t="str">
        <f t="shared" si="2"/>
        <v xml:space="preserve">TV 48 ErlangenDJK Erlangen </v>
      </c>
      <c r="T21" t="str">
        <f t="shared" si="3"/>
        <v>:</v>
      </c>
      <c r="X21" t="str">
        <f t="shared" si="4"/>
        <v>DJK Erlangen TV 48 Erlangen</v>
      </c>
      <c r="Y21" t="str">
        <f t="shared" si="5"/>
        <v>:</v>
      </c>
    </row>
    <row r="22" spans="1:29" ht="19.5" customHeight="1" thickBot="1" x14ac:dyDescent="0.35">
      <c r="A22" s="27">
        <f t="shared" si="6"/>
        <v>0.52708333333333313</v>
      </c>
      <c r="B22" s="23" t="str">
        <f>B9</f>
        <v>TV 48 Erlangen II</v>
      </c>
      <c r="C22" s="24" t="s">
        <v>19</v>
      </c>
      <c r="D22" s="52" t="str">
        <f>B6</f>
        <v>DJK Erlangen II</v>
      </c>
      <c r="E22" s="52"/>
      <c r="F22" s="52"/>
      <c r="G22" s="25"/>
      <c r="H22" s="26" t="s">
        <v>19</v>
      </c>
      <c r="I22" s="25"/>
      <c r="Q22" t="str">
        <f t="shared" si="0"/>
        <v/>
      </c>
      <c r="R22" t="str">
        <f t="shared" si="1"/>
        <v/>
      </c>
      <c r="S22" t="str">
        <f t="shared" si="2"/>
        <v>TV 48 Erlangen IIDJK Erlangen II</v>
      </c>
      <c r="T22" t="str">
        <f t="shared" si="3"/>
        <v>:</v>
      </c>
      <c r="X22" t="str">
        <f t="shared" si="4"/>
        <v>DJK Erlangen IITV 48 Erlangen II</v>
      </c>
      <c r="Y22" t="str">
        <f t="shared" si="5"/>
        <v>:</v>
      </c>
    </row>
    <row r="23" spans="1:29" ht="15.75" customHeight="1" x14ac:dyDescent="0.2">
      <c r="A23" s="28" t="str">
        <f>"geplantes Ende: "&amp;TEXT(A22+(Spielzeit)/60/24,"hh:mm")</f>
        <v>geplantes Ende: 12:49</v>
      </c>
    </row>
    <row r="24" spans="1:29" ht="15.75" customHeight="1" x14ac:dyDescent="0.2">
      <c r="A24" s="28"/>
    </row>
    <row r="25" spans="1:29" ht="15.75" customHeight="1" thickBot="1" x14ac:dyDescent="0.25"/>
    <row r="26" spans="1:29" ht="33.75" customHeight="1" thickBot="1" x14ac:dyDescent="0.25">
      <c r="A26" s="29"/>
      <c r="B26" s="30" t="s">
        <v>20</v>
      </c>
      <c r="C26" s="53" t="str">
        <f>Jahrgang</f>
        <v>G-Junioren</v>
      </c>
      <c r="D26" s="53"/>
      <c r="E26" s="53"/>
      <c r="F26" s="53"/>
      <c r="G26" s="53"/>
      <c r="H26" s="31"/>
      <c r="I26" s="32" t="s">
        <v>3</v>
      </c>
      <c r="J26" s="33">
        <f>Gruppe</f>
        <v>2</v>
      </c>
    </row>
    <row r="27" spans="1:29" ht="140.1" customHeight="1" thickTop="1" thickBot="1" x14ac:dyDescent="0.3">
      <c r="A27" s="34" t="s">
        <v>21</v>
      </c>
      <c r="B27" s="35"/>
      <c r="C27" s="36" t="str">
        <f>B28</f>
        <v xml:space="preserve">DJK Erlangen </v>
      </c>
      <c r="D27" s="36" t="str">
        <f>B29</f>
        <v>DJK Erlangen II</v>
      </c>
      <c r="E27" s="36" t="str">
        <f>B30</f>
        <v>(SG) TSV Hemhofen</v>
      </c>
      <c r="F27" s="36" t="str">
        <f>B31</f>
        <v>TV 48 Erlangen</v>
      </c>
      <c r="G27" s="36" t="str">
        <f>B32</f>
        <v>TV 48 Erlangen II</v>
      </c>
      <c r="H27" s="48" t="s">
        <v>22</v>
      </c>
      <c r="I27" s="48" t="s">
        <v>29</v>
      </c>
      <c r="J27" s="48" t="s">
        <v>23</v>
      </c>
      <c r="Q27" s="37" t="s">
        <v>24</v>
      </c>
      <c r="R27" s="38" t="s">
        <v>25</v>
      </c>
      <c r="S27" s="39" t="s">
        <v>26</v>
      </c>
      <c r="T27" s="39" t="s">
        <v>27</v>
      </c>
      <c r="U27" s="38" t="s">
        <v>22</v>
      </c>
      <c r="V27" s="38" t="s">
        <v>29</v>
      </c>
      <c r="W27" s="38" t="s">
        <v>23</v>
      </c>
      <c r="X27" s="54" t="s">
        <v>28</v>
      </c>
      <c r="Y27" s="55"/>
      <c r="Z27" s="55"/>
      <c r="AA27" s="55"/>
      <c r="AB27" s="55"/>
      <c r="AC27" s="55"/>
    </row>
    <row r="28" spans="1:29" ht="21" thickBot="1" x14ac:dyDescent="0.25">
      <c r="A28" s="40">
        <v>1</v>
      </c>
      <c r="B28" s="41" t="str">
        <f>VLOOKUP(A28,$S$28:$W$32,2,0)</f>
        <v xml:space="preserve">DJK Erlangen </v>
      </c>
      <c r="C28" s="42"/>
      <c r="D28" s="43" t="str">
        <f>IFERROR(VLOOKUP(Y28,$S$13:$T$22,2,0),VLOOKUP(Y28,$X$13:$Y$22,2,0))</f>
        <v>:</v>
      </c>
      <c r="E28" s="43" t="str">
        <f>IFERROR(VLOOKUP(Z28,$S$13:$T$22,2,0),VLOOKUP(Z28,$X$13:$Y$22,2,0))</f>
        <v>:</v>
      </c>
      <c r="F28" s="43" t="str">
        <f>IFERROR(VLOOKUP(AA28,$S$13:$T$22,2,0),VLOOKUP(AA28,$X$13:$Y$22,2,0))</f>
        <v>:</v>
      </c>
      <c r="G28" s="43" t="str">
        <f>IFERROR(VLOOKUP(AB28,$S$13:$T$22,2,0),VLOOKUP(AB28,$X$13:$Y$22,2,0))</f>
        <v>:</v>
      </c>
      <c r="H28" s="49" t="str">
        <f>VLOOKUP(A28,$S$28:$W$32,3,0)</f>
        <v/>
      </c>
      <c r="I28" s="50" t="str">
        <f>VLOOKUP(A28,$S$28:$W$32,4,0)</f>
        <v/>
      </c>
      <c r="J28" s="51" t="str">
        <f>VLOOKUP(A28,$S$28:$W$32,5,0)</f>
        <v/>
      </c>
      <c r="P28" t="str">
        <f>VLOOKUP(A28,$R$28:$W$32,3,0)</f>
        <v xml:space="preserve">DJK Erlangen </v>
      </c>
      <c r="Q28" s="44">
        <f>(SUMIF($B$13:$B$22,T28,$Q$13:$Q$22)+SUMIF($D$13:$D$22,T28,$R$13:$R$22))*100+SUMIF($D$13:$D$22,$T28,$I$13:$I$22)+SUMIF($B$13:$B$22,$T28,$G$13:$G$22)-(SUMIF($D$13:$D$22,$T28,$G$13:$G$22)+SUMIF($B$13:$B$22,$T28,$I$13:$I$22))+(SUMIF($D$13:$D$22,$T28,$I$13:$I$22)+SUMIF($B$13:$B$22,$T28,$G$13:$G$22))*0.01</f>
        <v>0</v>
      </c>
      <c r="R28">
        <f>_xlfn.RANK.EQ(Q28,$Q$28:$Q$32)</f>
        <v>1</v>
      </c>
      <c r="S28">
        <f>IF(COUNTIF($R$28:R28,R28)=1,R28,IF(COUNTIF($R$28:R28,R28)=2,R28+1,IF(COUNTIF($R$28:R28,R28)=3,R28+2,IF(COUNTIF($R$28:R28,R28)=4,R28+3,IF(COUNTIF($R$28:R28,R28)=5,R28+4,IF(COUNTIF($R$28:R28,R28)=6,R28+5))))))</f>
        <v>1</v>
      </c>
      <c r="T28" t="str">
        <f>B5</f>
        <v xml:space="preserve">DJK Erlangen </v>
      </c>
      <c r="U28" s="20" t="str">
        <f>IF(COUNT($I$13:$I$22)=0,"",SUMIF($D$13:$D$22,$B5,$I$13:$I$22)+SUMIF($B$13:$B$22,$B5,$G$13:$G$22)&amp;":"&amp;SUMIF($D$13:$D$22,$B5,$G$13:$G$22)+SUMIF($B$13:$B$22,$B5,$I$13:$I$22))</f>
        <v/>
      </c>
      <c r="V28" s="20" t="str">
        <f>IF(COUNT($I$13:$I$22)=0,"",SUMIF($D$13:$D$22,$B5,$I$13:$I$22)+SUMIF($B$13:$B$22,$B5,$G$13:$G$22)-(SUMIF($D$13:$D$22,$B5,$G$13:$G$22)+SUMIF($B$13:$B$22,$B5,$I$13:$I$22)))</f>
        <v/>
      </c>
      <c r="W28" s="20" t="str">
        <f>IF(COUNT($I$13:$I$22)=0,"",SUMIF($B$13:$B$22,B5,$Q$13:$Q$22)+SUMIF($D$13:$D$22,B5,$R$13:$R$22))</f>
        <v/>
      </c>
      <c r="X28" s="45" t="str">
        <f t="shared" ref="X28:AC32" si="7">$B28&amp;C$27</f>
        <v xml:space="preserve">DJK Erlangen DJK Erlangen </v>
      </c>
      <c r="Y28" s="46" t="str">
        <f t="shared" si="7"/>
        <v>DJK Erlangen DJK Erlangen II</v>
      </c>
      <c r="Z28" s="46" t="str">
        <f t="shared" si="7"/>
        <v>DJK Erlangen (SG) TSV Hemhofen</v>
      </c>
      <c r="AA28" s="46" t="str">
        <f t="shared" si="7"/>
        <v>DJK Erlangen TV 48 Erlangen</v>
      </c>
      <c r="AB28" s="46" t="str">
        <f t="shared" si="7"/>
        <v>DJK Erlangen TV 48 Erlangen II</v>
      </c>
      <c r="AC28" s="46" t="str">
        <f t="shared" si="7"/>
        <v>DJK Erlangen Tore</v>
      </c>
    </row>
    <row r="29" spans="1:29" ht="21" thickBot="1" x14ac:dyDescent="0.25">
      <c r="A29" s="40">
        <v>2</v>
      </c>
      <c r="B29" s="41" t="str">
        <f>VLOOKUP(A29,$S$28:$W$32,2,0)</f>
        <v>DJK Erlangen II</v>
      </c>
      <c r="C29" s="43" t="str">
        <f>IFERROR(VLOOKUP(X29,$S$13:$T$22,2,0),VLOOKUP(X29,$X$13:$Y$22,2,0))</f>
        <v>:</v>
      </c>
      <c r="D29" s="47"/>
      <c r="E29" s="43" t="str">
        <f>IFERROR(VLOOKUP(Z29,$S$13:$T$22,2,0),VLOOKUP(Z29,$X$13:$Y$22,2,0))</f>
        <v>:</v>
      </c>
      <c r="F29" s="43" t="str">
        <f>IFERROR(VLOOKUP(AA29,$S$13:$T$22,2,0),VLOOKUP(AA29,$X$13:$Y$22,2,0))</f>
        <v>:</v>
      </c>
      <c r="G29" s="43" t="str">
        <f>IFERROR(VLOOKUP(AB29,$S$13:$T$22,2,0),VLOOKUP(AB29,$X$13:$Y$22,2,0))</f>
        <v>:</v>
      </c>
      <c r="H29" s="49" t="str">
        <f t="shared" ref="H29:H32" si="8">VLOOKUP(A29,$S$28:$W$32,3,0)</f>
        <v/>
      </c>
      <c r="I29" s="50" t="str">
        <f>VLOOKUP(A29,$S$28:$W$32,4,0)</f>
        <v/>
      </c>
      <c r="J29" s="51" t="str">
        <f t="shared" ref="J29:J32" si="9">VLOOKUP(A29,$S$28:$W$32,5,0)</f>
        <v/>
      </c>
      <c r="P29" t="e">
        <f>VLOOKUP(A29,$R$28:$W$32,3,0)</f>
        <v>#N/A</v>
      </c>
      <c r="Q29" s="44">
        <f>(SUMIF($B$13:$B$22,T29,$Q$13:$Q$22)+SUMIF($D$13:$D$22,T29,$R$13:$R$22))*100+SUMIF($D$13:$D$22,$T29,$I$13:$I$22)+SUMIF($B$13:$B$22,$T29,$G$13:$G$22)-(SUMIF($D$13:$D$22,$T29,$G$13:$G$22)+SUMIF($B$13:$B$22,$T29,$I$13:$I$22))+(SUMIF($D$13:$D$22,$T29,$I$13:$I$22)+SUMIF($B$13:$B$22,$T29,$G$13:$G$22))*0.01</f>
        <v>0</v>
      </c>
      <c r="R29">
        <f>_xlfn.RANK.EQ(Q29,$Q$28:$Q$32)</f>
        <v>1</v>
      </c>
      <c r="S29">
        <f>IF(COUNTIF($R$28:R29,R29)=1,R29,IF(COUNTIF($R$28:R29,R29)=2,R29+1,IF(COUNTIF($R$28:R29,R29)=3,R29+2,IF(COUNTIF($R$28:R29,R29)=4,R29+3,IF(COUNTIF($R$28:R29,R29)=5,R29+4,IF(COUNTIF($R$28:R29,R29)=6,R29+5))))))</f>
        <v>2</v>
      </c>
      <c r="T29" t="str">
        <f t="shared" ref="T29:T32" si="10">B6</f>
        <v>DJK Erlangen II</v>
      </c>
      <c r="U29" s="20" t="str">
        <f>IF(COUNT($I$13:$I$22)=0,"",SUMIF($D$13:$D$22,$B6,$I$13:$I$22)+SUMIF($B$13:$B$22,$B6,$G$13:$G$22)&amp;":"&amp;SUMIF($D$13:$D$22,$B6,$G$13:$G$22)+SUMIF($B$13:$B$22,$B6,$I$13:$I$22))</f>
        <v/>
      </c>
      <c r="V29" s="20" t="str">
        <f t="shared" ref="V29:V32" si="11">IF(COUNT($I$13:$I$22)=0,"",SUMIF($D$13:$D$22,$B6,$I$13:$I$22)+SUMIF($B$13:$B$22,$B6,$G$13:$G$22)-(SUMIF($D$13:$D$22,$B6,$G$13:$G$22)+SUMIF($B$13:$B$22,$B6,$I$13:$I$22)))</f>
        <v/>
      </c>
      <c r="W29" s="20" t="str">
        <f>IF(COUNT($I$13:$I$22)=0,"",SUMIF($B$13:$B$22,B6,$Q$13:$Q$22)+SUMIF($D$13:$D$22,B6,$R$13:$R$22))</f>
        <v/>
      </c>
      <c r="X29" s="45" t="str">
        <f t="shared" si="7"/>
        <v xml:space="preserve">DJK Erlangen IIDJK Erlangen </v>
      </c>
      <c r="Y29" s="46" t="str">
        <f t="shared" si="7"/>
        <v>DJK Erlangen IIDJK Erlangen II</v>
      </c>
      <c r="Z29" s="46" t="str">
        <f t="shared" si="7"/>
        <v>DJK Erlangen II(SG) TSV Hemhofen</v>
      </c>
      <c r="AA29" s="46" t="str">
        <f t="shared" si="7"/>
        <v>DJK Erlangen IITV 48 Erlangen</v>
      </c>
      <c r="AB29" s="46" t="str">
        <f t="shared" si="7"/>
        <v>DJK Erlangen IITV 48 Erlangen II</v>
      </c>
      <c r="AC29" s="46" t="str">
        <f t="shared" si="7"/>
        <v>DJK Erlangen IITore</v>
      </c>
    </row>
    <row r="30" spans="1:29" ht="21" thickBot="1" x14ac:dyDescent="0.25">
      <c r="A30" s="40">
        <v>3</v>
      </c>
      <c r="B30" s="41" t="str">
        <f>VLOOKUP(A30,$S$28:$W$32,2,0)</f>
        <v>(SG) TSV Hemhofen</v>
      </c>
      <c r="C30" s="43" t="str">
        <f>IFERROR(VLOOKUP(X30,$S$13:$T$22,2,0),VLOOKUP(X30,$X$13:$Y$22,2,0))</f>
        <v>:</v>
      </c>
      <c r="D30" s="43" t="str">
        <f>IFERROR(VLOOKUP(Y30,$S$13:$T$22,2,0),VLOOKUP(Y30,$X$13:$Y$22,2,0))</f>
        <v>:</v>
      </c>
      <c r="E30" s="47"/>
      <c r="F30" s="43" t="str">
        <f>IFERROR(VLOOKUP(AA30,$S$13:$T$22,2,0),VLOOKUP(AA30,$X$13:$Y$22,2,0))</f>
        <v>:</v>
      </c>
      <c r="G30" s="43" t="str">
        <f>IFERROR(VLOOKUP(AB30,$S$13:$T$22,2,0),VLOOKUP(AB30,$X$13:$Y$22,2,0))</f>
        <v>:</v>
      </c>
      <c r="H30" s="49" t="str">
        <f t="shared" si="8"/>
        <v/>
      </c>
      <c r="I30" s="50" t="str">
        <f t="shared" ref="I30:I32" si="12">VLOOKUP(A30,$S$28:$W$32,4,0)</f>
        <v/>
      </c>
      <c r="J30" s="51" t="str">
        <f t="shared" si="9"/>
        <v/>
      </c>
      <c r="P30" t="e">
        <f>VLOOKUP(A30,$R$28:$W$32,3,0)</f>
        <v>#N/A</v>
      </c>
      <c r="Q30" s="44">
        <f>(SUMIF($B$13:$B$22,T30,$Q$13:$Q$22)+SUMIF($D$13:$D$22,T30,$R$13:$R$22))*100+SUMIF($D$13:$D$22,$T30,$I$13:$I$22)+SUMIF($B$13:$B$22,$T30,$G$13:$G$22)-(SUMIF($D$13:$D$22,$T30,$G$13:$G$22)+SUMIF($B$13:$B$22,$T30,$I$13:$I$22))+(SUMIF($D$13:$D$22,$T30,$I$13:$I$22)+SUMIF($B$13:$B$22,$T30,$G$13:$G$22))*0.01</f>
        <v>0</v>
      </c>
      <c r="R30">
        <f>_xlfn.RANK.EQ(Q30,$Q$28:$Q$32)</f>
        <v>1</v>
      </c>
      <c r="S30">
        <f>IF(COUNTIF($R$28:R30,R30)=1,R30,IF(COUNTIF($R$28:R30,R30)=2,R30+1,IF(COUNTIF($R$28:R30,R30)=3,R30+2,IF(COUNTIF($R$28:R30,R30)=4,R30+3,IF(COUNTIF($R$28:R30,R30)=5,R30+4,IF(COUNTIF($R$28:R30,R30)=6,R30+5))))))</f>
        <v>3</v>
      </c>
      <c r="T30" t="str">
        <f t="shared" si="10"/>
        <v>(SG) TSV Hemhofen</v>
      </c>
      <c r="U30" s="20" t="str">
        <f>IF(COUNT($I$13:$I$22)=0,"",SUMIF($D$13:$D$22,$B7,$I$13:$I$22)+SUMIF($B$13:$B$22,$B7,$G$13:$G$22)&amp;":"&amp;SUMIF($D$13:$D$22,$B7,$G$13:$G$22)+SUMIF($B$13:$B$22,$B7,$I$13:$I$22))</f>
        <v/>
      </c>
      <c r="V30" s="20" t="str">
        <f t="shared" si="11"/>
        <v/>
      </c>
      <c r="W30" s="20" t="str">
        <f>IF(COUNT($I$13:$I$22)=0,"",SUMIF($B$13:$B$22,B7,$Q$13:$Q$22)+SUMIF($D$13:$D$22,B7,$R$13:$R$22))</f>
        <v/>
      </c>
      <c r="X30" s="45" t="str">
        <f t="shared" si="7"/>
        <v xml:space="preserve">(SG) TSV HemhofenDJK Erlangen </v>
      </c>
      <c r="Y30" s="46" t="str">
        <f t="shared" si="7"/>
        <v>(SG) TSV HemhofenDJK Erlangen II</v>
      </c>
      <c r="Z30" s="46" t="str">
        <f t="shared" si="7"/>
        <v>(SG) TSV Hemhofen(SG) TSV Hemhofen</v>
      </c>
      <c r="AA30" s="46" t="str">
        <f t="shared" si="7"/>
        <v>(SG) TSV HemhofenTV 48 Erlangen</v>
      </c>
      <c r="AB30" s="46" t="str">
        <f t="shared" si="7"/>
        <v>(SG) TSV HemhofenTV 48 Erlangen II</v>
      </c>
      <c r="AC30" s="46" t="str">
        <f t="shared" si="7"/>
        <v>(SG) TSV HemhofenTore</v>
      </c>
    </row>
    <row r="31" spans="1:29" ht="21" thickBot="1" x14ac:dyDescent="0.25">
      <c r="A31" s="40">
        <v>4</v>
      </c>
      <c r="B31" s="41" t="str">
        <f>VLOOKUP(A31,$S$28:$W$32,2,0)</f>
        <v>TV 48 Erlangen</v>
      </c>
      <c r="C31" s="43" t="str">
        <f>IFERROR(VLOOKUP(X31,$S$13:$T$22,2,0),VLOOKUP(X31,$X$13:$Y$22,2,0))</f>
        <v>:</v>
      </c>
      <c r="D31" s="43" t="str">
        <f>IFERROR(VLOOKUP(Y31,$S$13:$T$22,2,0),VLOOKUP(Y31,$X$13:$Y$22,2,0))</f>
        <v>:</v>
      </c>
      <c r="E31" s="43" t="str">
        <f>IFERROR(VLOOKUP(Z31,$S$13:$T$22,2,0),VLOOKUP(Z31,$X$13:$Y$22,2,0))</f>
        <v>:</v>
      </c>
      <c r="F31" s="47"/>
      <c r="G31" s="43" t="str">
        <f>IFERROR(VLOOKUP(AB31,$S$13:$T$22,2,0),VLOOKUP(AB31,$X$13:$Y$22,2,0))</f>
        <v>:</v>
      </c>
      <c r="H31" s="49" t="str">
        <f t="shared" si="8"/>
        <v/>
      </c>
      <c r="I31" s="50" t="str">
        <f t="shared" si="12"/>
        <v/>
      </c>
      <c r="J31" s="51" t="str">
        <f t="shared" si="9"/>
        <v/>
      </c>
      <c r="P31" t="e">
        <f>VLOOKUP(A31,$R$28:$W$32,3,0)</f>
        <v>#N/A</v>
      </c>
      <c r="Q31" s="44">
        <f>(SUMIF($B$13:$B$22,T31,$Q$13:$Q$22)+SUMIF($D$13:$D$22,T31,$R$13:$R$22))*100+SUMIF($D$13:$D$22,$T31,$I$13:$I$22)+SUMIF($B$13:$B$22,$T31,$G$13:$G$22)-(SUMIF($D$13:$D$22,$T31,$G$13:$G$22)+SUMIF($B$13:$B$22,$T31,$I$13:$I$22))+(SUMIF($D$13:$D$22,$T31,$I$13:$I$22)+SUMIF($B$13:$B$22,$T31,$G$13:$G$22))*0.01</f>
        <v>0</v>
      </c>
      <c r="R31">
        <f>_xlfn.RANK.EQ(Q31,$Q$28:$Q$32)</f>
        <v>1</v>
      </c>
      <c r="S31">
        <f>IF(COUNTIF($R$28:R31,R31)=1,R31,IF(COUNTIF($R$28:R31,R31)=2,R31+1,IF(COUNTIF($R$28:R31,R31)=3,R31+2,IF(COUNTIF($R$28:R31,R31)=4,R31+3,IF(COUNTIF($R$28:R31,R31)=5,R31+4,IF(COUNTIF($R$28:R31,R31)=6,R31+5))))))</f>
        <v>4</v>
      </c>
      <c r="T31" t="str">
        <f t="shared" si="10"/>
        <v>TV 48 Erlangen</v>
      </c>
      <c r="U31" s="20" t="str">
        <f>IF(COUNT($I$13:$I$22)=0,"",SUMIF($D$13:$D$22,$B8,$I$13:$I$22)+SUMIF($B$13:$B$22,$B8,$G$13:$G$22)&amp;":"&amp;SUMIF($D$13:$D$22,$B8,$G$13:$G$22)+SUMIF($B$13:$B$22,$B8,$I$13:$I$22))</f>
        <v/>
      </c>
      <c r="V31" s="20" t="str">
        <f t="shared" si="11"/>
        <v/>
      </c>
      <c r="W31" s="20" t="str">
        <f>IF(COUNT($I$13:$I$22)=0,"",SUMIF($B$13:$B$22,B8,$Q$13:$Q$22)+SUMIF($D$13:$D$22,B8,$R$13:$R$22))</f>
        <v/>
      </c>
      <c r="X31" s="45" t="str">
        <f t="shared" si="7"/>
        <v xml:space="preserve">TV 48 ErlangenDJK Erlangen </v>
      </c>
      <c r="Y31" s="46" t="str">
        <f t="shared" si="7"/>
        <v>TV 48 ErlangenDJK Erlangen II</v>
      </c>
      <c r="Z31" s="46" t="str">
        <f t="shared" si="7"/>
        <v>TV 48 Erlangen(SG) TSV Hemhofen</v>
      </c>
      <c r="AA31" s="46" t="str">
        <f t="shared" si="7"/>
        <v>TV 48 ErlangenTV 48 Erlangen</v>
      </c>
      <c r="AB31" s="46" t="str">
        <f t="shared" si="7"/>
        <v>TV 48 ErlangenTV 48 Erlangen II</v>
      </c>
      <c r="AC31" s="46" t="str">
        <f t="shared" si="7"/>
        <v>TV 48 ErlangenTore</v>
      </c>
    </row>
    <row r="32" spans="1:29" ht="21" thickBot="1" x14ac:dyDescent="0.25">
      <c r="A32" s="40">
        <v>5</v>
      </c>
      <c r="B32" s="41" t="str">
        <f>VLOOKUP(A32,$S$28:$W$32,2,0)</f>
        <v>TV 48 Erlangen II</v>
      </c>
      <c r="C32" s="43" t="str">
        <f>IFERROR(VLOOKUP(X32,$S$13:$T$22,2,0),VLOOKUP(X32,$X$13:$Y$22,2,0))</f>
        <v>:</v>
      </c>
      <c r="D32" s="43" t="str">
        <f>IFERROR(VLOOKUP(Y32,$S$13:$T$22,2,0),VLOOKUP(Y32,$X$13:$Y$22,2,0))</f>
        <v>:</v>
      </c>
      <c r="E32" s="43" t="str">
        <f>IFERROR(VLOOKUP(Z32,$S$13:$T$22,2,0),VLOOKUP(Z32,$X$13:$Y$22,2,0))</f>
        <v>:</v>
      </c>
      <c r="F32" s="43" t="str">
        <f>IFERROR(VLOOKUP(AA32,$S$13:$T$22,2,0),VLOOKUP(AA32,$X$13:$Y$22,2,0))</f>
        <v>:</v>
      </c>
      <c r="G32" s="47"/>
      <c r="H32" s="49" t="str">
        <f t="shared" si="8"/>
        <v/>
      </c>
      <c r="I32" s="50" t="str">
        <f t="shared" si="12"/>
        <v/>
      </c>
      <c r="J32" s="51" t="str">
        <f t="shared" si="9"/>
        <v/>
      </c>
      <c r="P32" t="e">
        <f>VLOOKUP(A32,$R$28:$W$32,3,0)</f>
        <v>#N/A</v>
      </c>
      <c r="Q32" s="44">
        <f>(SUMIF($B$13:$B$22,T32,$Q$13:$Q$22)+SUMIF($D$13:$D$22,T32,$R$13:$R$22))*100+SUMIF($D$13:$D$22,$T32,$I$13:$I$22)+SUMIF($B$13:$B$22,$T32,$G$13:$G$22)-(SUMIF($D$13:$D$22,$T32,$G$13:$G$22)+SUMIF($B$13:$B$22,$T32,$I$13:$I$22))+(SUMIF($D$13:$D$22,$T32,$I$13:$I$22)+SUMIF($B$13:$B$22,$T32,$G$13:$G$22))*0.01</f>
        <v>0</v>
      </c>
      <c r="R32">
        <f>_xlfn.RANK.EQ(Q32,$Q$28:$Q$32)</f>
        <v>1</v>
      </c>
      <c r="S32">
        <f>IF(COUNTIF($R$28:R32,R32)=1,R32,IF(COUNTIF($R$28:R32,R32)=2,R32+1,IF(COUNTIF($R$28:R32,R32)=3,R32+2,IF(COUNTIF($R$28:R32,R32)=4,R32+3,IF(COUNTIF($R$28:R32,R32)=5,R32+4,IF(COUNTIF($R$28:R32,R32)=6,R32+5))))))</f>
        <v>5</v>
      </c>
      <c r="T32" t="str">
        <f t="shared" si="10"/>
        <v>TV 48 Erlangen II</v>
      </c>
      <c r="U32" s="20" t="str">
        <f>IF(COUNT($I$13:$I$22)=0,"",SUMIF($D$13:$D$22,$B9,$I$13:$I$22)+SUMIF($B$13:$B$22,$B9,$G$13:$G$22)&amp;":"&amp;SUMIF($D$13:$D$22,$B9,$G$13:$G$22)+SUMIF($B$13:$B$22,$B9,$I$13:$I$22))</f>
        <v/>
      </c>
      <c r="V32" s="20" t="str">
        <f t="shared" si="11"/>
        <v/>
      </c>
      <c r="W32" s="20" t="str">
        <f>IF(COUNT($I$13:$I$22)=0,"",SUMIF($B$13:$B$22,B9,$Q$13:$Q$22)+SUMIF($D$13:$D$22,B9,$R$13:$R$22))</f>
        <v/>
      </c>
      <c r="X32" s="45" t="str">
        <f t="shared" si="7"/>
        <v xml:space="preserve">TV 48 Erlangen IIDJK Erlangen </v>
      </c>
      <c r="Y32" s="46" t="str">
        <f t="shared" si="7"/>
        <v>TV 48 Erlangen IIDJK Erlangen II</v>
      </c>
      <c r="Z32" s="46" t="str">
        <f t="shared" si="7"/>
        <v>TV 48 Erlangen II(SG) TSV Hemhofen</v>
      </c>
      <c r="AA32" s="46" t="str">
        <f t="shared" si="7"/>
        <v>TV 48 Erlangen IITV 48 Erlangen</v>
      </c>
      <c r="AB32" s="46" t="str">
        <f t="shared" si="7"/>
        <v>TV 48 Erlangen IITV 48 Erlangen II</v>
      </c>
      <c r="AC32" s="46" t="str">
        <f t="shared" si="7"/>
        <v>TV 48 Erlangen IITore</v>
      </c>
    </row>
  </sheetData>
  <sheetProtection sheet="1" objects="1" scenarios="1" selectLockedCells="1"/>
  <mergeCells count="22">
    <mergeCell ref="D14:F14"/>
    <mergeCell ref="A1:J1"/>
    <mergeCell ref="M1:N1"/>
    <mergeCell ref="A2:E2"/>
    <mergeCell ref="G2:J2"/>
    <mergeCell ref="B5:I5"/>
    <mergeCell ref="B6:I6"/>
    <mergeCell ref="B7:I7"/>
    <mergeCell ref="B8:I8"/>
    <mergeCell ref="B9:I9"/>
    <mergeCell ref="B10:I10"/>
    <mergeCell ref="D13:F13"/>
    <mergeCell ref="D21:F21"/>
    <mergeCell ref="D22:F22"/>
    <mergeCell ref="C26:G26"/>
    <mergeCell ref="X27:AC27"/>
    <mergeCell ref="D15:F15"/>
    <mergeCell ref="D16:F16"/>
    <mergeCell ref="D17:F17"/>
    <mergeCell ref="D18:F18"/>
    <mergeCell ref="D19:F19"/>
    <mergeCell ref="D20:F20"/>
  </mergeCells>
  <conditionalFormatting sqref="A28:A32">
    <cfRule type="expression" dxfId="0" priority="1">
      <formula>ISERROR($P28)</formula>
    </cfRule>
  </conditionalFormatting>
  <dataValidations count="3">
    <dataValidation type="time" allowBlank="1" showInputMessage="1" showErrorMessage="1" sqref="N8">
      <formula1>0</formula1>
      <formula2>0.999305555555556</formula2>
    </dataValidation>
    <dataValidation type="date" operator="greaterThan" allowBlank="1" showInputMessage="1" showErrorMessage="1" sqref="N7">
      <formula1>1</formula1>
    </dataValidation>
    <dataValidation type="whole" operator="greaterThanOrEqual" allowBlank="1" showInputMessage="1" showErrorMessage="1" sqref="N9:N10">
      <formula1>0</formula1>
    </dataValidation>
  </dataValidations>
  <pageMargins left="0.25" right="0.25" top="0.75" bottom="0.75" header="0.3" footer="0.3"/>
  <pageSetup paperSize="9" scale="93" orientation="portrait" horizontalDpi="4294967293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11</vt:i4>
      </vt:variant>
    </vt:vector>
  </HeadingPairs>
  <TitlesOfParts>
    <vt:vector size="13" baseType="lpstr">
      <vt:lpstr>Gruppe 1</vt:lpstr>
      <vt:lpstr>Tabelle1</vt:lpstr>
      <vt:lpstr>'Gruppe 1'!Ausblenden</vt:lpstr>
      <vt:lpstr>'Gruppe 1'!Beginn</vt:lpstr>
      <vt:lpstr>'Gruppe 1'!Datum</vt:lpstr>
      <vt:lpstr>'Gruppe 1'!Druckbereich</vt:lpstr>
      <vt:lpstr>'Gruppe 1'!Gruppe</vt:lpstr>
      <vt:lpstr>'Gruppe 1'!Jahrgang</vt:lpstr>
      <vt:lpstr>'Gruppe 1'!Ort</vt:lpstr>
      <vt:lpstr>'Gruppe 1'!Pause</vt:lpstr>
      <vt:lpstr>'Gruppe 1'!Saison</vt:lpstr>
      <vt:lpstr>'Gruppe 1'!Spieltag</vt:lpstr>
      <vt:lpstr>'Gruppe 1'!Spielzeit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 Spaeth</dc:creator>
  <cp:lastModifiedBy>Robert Gnan</cp:lastModifiedBy>
  <dcterms:created xsi:type="dcterms:W3CDTF">2016-04-28T11:37:23Z</dcterms:created>
  <dcterms:modified xsi:type="dcterms:W3CDTF">2019-04-02T08:43:06Z</dcterms:modified>
</cp:coreProperties>
</file>